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0" windowWidth="8610" windowHeight="6225"/>
  </bookViews>
  <sheets>
    <sheet name="W&amp;B" sheetId="1" r:id="rId1"/>
    <sheet name="MedEquip" sheetId="4" r:id="rId2"/>
    <sheet name="Constants" sheetId="9" r:id="rId3"/>
    <sheet name="Fuel" sheetId="11" r:id="rId4"/>
    <sheet name="Calculations" sheetId="10" r:id="rId5"/>
  </sheets>
  <definedNames>
    <definedName name="CGinKgMm">Calculations!$B$6</definedName>
    <definedName name="CopilotCgInMm">Constants!$B$10</definedName>
    <definedName name="EmptyCGinMM">Constants!$B$2</definedName>
    <definedName name="EmptyMassInKg">Constants!$B$1</definedName>
    <definedName name="EmptyMomentInKgMm">Constants!$B$3</definedName>
    <definedName name="FFcgInMm">Constants!$B$14</definedName>
    <definedName name="FuelLperKg">Constants!$B$7</definedName>
    <definedName name="GrossMassInKg">Calculations!$B$4</definedName>
    <definedName name="LitersPerGallon">Constants!$B$8</definedName>
    <definedName name="LRFcgInMm">Constants!$B$11</definedName>
    <definedName name="MaxFwdCgInMm">Calculations!$B$7</definedName>
    <definedName name="MaxGrossMassInKg">Constants!$B$5</definedName>
    <definedName name="MaxRearCgInMm">Calculations!$B$8</definedName>
    <definedName name="PilotCgInMm">Constants!$B$9</definedName>
    <definedName name="PoundsPerKg">Constants!$B$6</definedName>
    <definedName name="_xlnm.Print_Area" localSheetId="0">'W&amp;B'!$A$1:$D$10</definedName>
    <definedName name="PtCgInMm">Constants!$B$13</definedName>
    <definedName name="RRFcgInMm">Constants!$B$12</definedName>
    <definedName name="SupplyTankFuelInKg">Constants!$B$4</definedName>
  </definedNames>
  <calcPr calcId="125725"/>
</workbook>
</file>

<file path=xl/calcChain.xml><?xml version="1.0" encoding="utf-8"?>
<calcChain xmlns="http://schemas.openxmlformats.org/spreadsheetml/2006/main">
  <c r="B2" i="10"/>
  <c r="C2" s="1"/>
  <c r="D2" s="1"/>
  <c r="G2" s="1"/>
  <c r="H2" s="1"/>
  <c r="B4"/>
  <c r="C6" i="1"/>
  <c r="D6"/>
  <c r="B6"/>
  <c r="A2"/>
  <c r="D5"/>
  <c r="C5"/>
  <c r="D4"/>
  <c r="C4"/>
  <c r="D3"/>
  <c r="C3"/>
  <c r="A1" l="1"/>
  <c r="E2" i="10"/>
  <c r="F2" s="1"/>
  <c r="B8"/>
  <c r="D2" i="1" s="1"/>
  <c r="B7" i="10"/>
  <c r="B2" i="1" s="1"/>
  <c r="D24" i="4"/>
  <c r="D25"/>
  <c r="D26"/>
  <c r="D27"/>
  <c r="D28"/>
  <c r="I2" i="10" l="1"/>
  <c r="B5" l="1"/>
  <c r="B6" s="1"/>
  <c r="B35" i="4"/>
  <c r="D7"/>
  <c r="D8"/>
  <c r="D9"/>
  <c r="D10"/>
  <c r="D11"/>
  <c r="D12"/>
  <c r="D13"/>
  <c r="D14"/>
  <c r="D15"/>
  <c r="D16"/>
  <c r="D17"/>
  <c r="D18"/>
  <c r="D19"/>
  <c r="D20"/>
  <c r="D21"/>
  <c r="D22"/>
  <c r="D23"/>
  <c r="D29"/>
  <c r="D30"/>
  <c r="D31"/>
  <c r="D32"/>
  <c r="D33"/>
  <c r="D34"/>
  <c r="C1" i="1" l="1"/>
  <c r="B1" s="1"/>
  <c r="D35" i="4"/>
  <c r="C35" s="1"/>
  <c r="D1" i="1" l="1"/>
</calcChain>
</file>

<file path=xl/sharedStrings.xml><?xml version="1.0" encoding="utf-8"?>
<sst xmlns="http://schemas.openxmlformats.org/spreadsheetml/2006/main" count="40" uniqueCount="39">
  <si>
    <t>Item</t>
  </si>
  <si>
    <t>Mass (kg)</t>
  </si>
  <si>
    <t>Arm (mm)</t>
  </si>
  <si>
    <t>MOM (kgmm)</t>
  </si>
  <si>
    <t>Empty c.g. (mm)</t>
  </si>
  <si>
    <t>Med Baggage FWD</t>
  </si>
  <si>
    <t>OXY &amp; Gear FWD</t>
  </si>
  <si>
    <t>OXY AFT</t>
  </si>
  <si>
    <t>Baggage AFT</t>
  </si>
  <si>
    <t>Total</t>
  </si>
  <si>
    <t>Supply tank fuel (kg)</t>
  </si>
  <si>
    <t>Pounds per kg</t>
  </si>
  <si>
    <t>Gross Mass (kg)</t>
  </si>
  <si>
    <t>Moment (kgmm)</t>
  </si>
  <si>
    <t>CG (mm)</t>
  </si>
  <si>
    <t>Max Fwd CG (mm)</t>
  </si>
  <si>
    <t>Max Rear CG (mm)</t>
  </si>
  <si>
    <t>Pilot seat CG (mm)</t>
  </si>
  <si>
    <t>Copilot seat CG (mm)</t>
  </si>
  <si>
    <t>L rear-facing seat CG (mm)</t>
  </si>
  <si>
    <t>R rear-facing seat CG (mm)</t>
  </si>
  <si>
    <t>Patient CG (mm)</t>
  </si>
  <si>
    <t>Forward-facing seat CG (mm)</t>
  </si>
  <si>
    <t>Empty moment (kgmm)</t>
  </si>
  <si>
    <t>Gal</t>
  </si>
  <si>
    <t>Fuel Liters per kg</t>
  </si>
  <si>
    <t>Liters per gallon</t>
  </si>
  <si>
    <t>Total (gal)</t>
  </si>
  <si>
    <t>Main (gal)</t>
  </si>
  <si>
    <t>Total (kg)</t>
  </si>
  <si>
    <t>Empty mass (kg)</t>
  </si>
  <si>
    <t>Max Gross Mass (kg)</t>
  </si>
  <si>
    <t>Fuel moment</t>
  </si>
  <si>
    <t>Lower (kgmm)</t>
  </si>
  <si>
    <t>Upper (kgmm)</t>
  </si>
  <si>
    <t>Lower (gal)</t>
  </si>
  <si>
    <t>Upper (gal)</t>
  </si>
  <si>
    <t>Minterp (kgmm)</t>
  </si>
  <si>
    <t>&lt; CG Limits &gt;</t>
  </si>
</sst>
</file>

<file path=xl/styles.xml><?xml version="1.0" encoding="utf-8"?>
<styleSheet xmlns="http://schemas.openxmlformats.org/spreadsheetml/2006/main">
  <numFmts count="20">
    <numFmt numFmtId="164" formatCode="0.0"/>
    <numFmt numFmtId="165" formatCode="0&quot; kg&quot;"/>
    <numFmt numFmtId="166" formatCode="0&quot;kg&quot;"/>
    <numFmt numFmtId="167" formatCode="&quot;CP: &quot;0&quot; mm&quot;"/>
    <numFmt numFmtId="168" formatCode="&quot;P: &quot;0&quot; mm&quot;"/>
    <numFmt numFmtId="169" formatCode="&quot;LRF: &quot;0&quot; mm&quot;"/>
    <numFmt numFmtId="170" formatCode="&quot;RRF: &quot;0&quot; mm&quot;"/>
    <numFmt numFmtId="171" formatCode="&quot;FF: &quot;0&quot; mm&quot;"/>
    <numFmt numFmtId="172" formatCode="0&quot; kgmm&quot;"/>
    <numFmt numFmtId="173" formatCode="0.0&quot; mm&quot;"/>
    <numFmt numFmtId="174" formatCode="&quot;MT: &quot;0.0&quot; kg&quot;"/>
    <numFmt numFmtId="175" formatCode="0&quot; gal&quot;"/>
    <numFmt numFmtId="176" formatCode="&quot;Pt: &quot;0&quot; lb&quot;"/>
    <numFmt numFmtId="177" formatCode="&quot;FF: &quot;0&quot; lb&quot;"/>
    <numFmt numFmtId="178" formatCode="&quot;RFL: &quot;0&quot; lb&quot;"/>
    <numFmt numFmtId="179" formatCode="&quot;RFR: &quot;0&quot; lb&quot;"/>
    <numFmt numFmtId="180" formatCode="&quot;CP: &quot;0&quot; lb&quot;"/>
    <numFmt numFmtId="181" formatCode="&quot;P: &quot;0&quot; lb&quot;"/>
    <numFmt numFmtId="182" formatCode="0&quot; mm&quot;"/>
    <numFmt numFmtId="183" formatCode="&quot;Pt: &quot;0&quot; mm&quot;"/>
  </numFmts>
  <fonts count="11">
    <font>
      <sz val="10"/>
      <name val="Tahoma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2" fontId="2" fillId="0" borderId="0" xfId="0" applyNumberFormat="1" applyFont="1"/>
    <xf numFmtId="1" fontId="1" fillId="0" borderId="0" xfId="0" applyNumberFormat="1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2" fillId="0" borderId="0" xfId="0" applyNumberFormat="1" applyFont="1"/>
    <xf numFmtId="164" fontId="5" fillId="0" borderId="0" xfId="0" applyNumberFormat="1" applyFont="1" applyAlignment="1">
      <alignment horizontal="center"/>
    </xf>
    <xf numFmtId="0" fontId="8" fillId="0" borderId="0" xfId="0" applyFont="1"/>
    <xf numFmtId="165" fontId="3" fillId="2" borderId="1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4" fillId="0" borderId="2" xfId="0" applyFont="1" applyBorder="1"/>
    <xf numFmtId="164" fontId="4" fillId="0" borderId="2" xfId="0" applyNumberFormat="1" applyFont="1" applyBorder="1"/>
    <xf numFmtId="1" fontId="4" fillId="0" borderId="2" xfId="0" applyNumberFormat="1" applyFont="1" applyBorder="1"/>
    <xf numFmtId="166" fontId="3" fillId="0" borderId="0" xfId="0" applyNumberFormat="1" applyFont="1" applyProtection="1"/>
    <xf numFmtId="164" fontId="8" fillId="0" borderId="0" xfId="0" applyNumberFormat="1" applyFont="1"/>
    <xf numFmtId="164" fontId="0" fillId="0" borderId="0" xfId="0" applyNumberFormat="1"/>
    <xf numFmtId="1" fontId="0" fillId="0" borderId="0" xfId="0" applyNumberFormat="1"/>
    <xf numFmtId="0" fontId="0" fillId="0" borderId="0" xfId="0" quotePrefix="1"/>
    <xf numFmtId="0" fontId="9" fillId="0" borderId="0" xfId="0" applyFont="1" applyProtection="1"/>
    <xf numFmtId="164" fontId="9" fillId="0" borderId="0" xfId="0" applyNumberFormat="1" applyFont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NumberFormat="1" applyFont="1" applyProtection="1"/>
    <xf numFmtId="164" fontId="9" fillId="4" borderId="0" xfId="0" applyNumberFormat="1" applyFont="1" applyFill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164" fontId="1" fillId="0" borderId="0" xfId="0" applyNumberFormat="1" applyFont="1" applyProtection="1">
      <protection locked="0"/>
    </xf>
    <xf numFmtId="164" fontId="7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9" fillId="4" borderId="0" xfId="0" applyNumberFormat="1" applyFont="1" applyFill="1" applyAlignment="1" applyProtection="1">
      <alignment horizontal="center" vertical="center"/>
    </xf>
    <xf numFmtId="168" fontId="9" fillId="4" borderId="0" xfId="0" applyNumberFormat="1" applyFont="1" applyFill="1" applyAlignment="1" applyProtection="1">
      <alignment horizontal="center" vertical="center"/>
    </xf>
    <xf numFmtId="169" fontId="9" fillId="4" borderId="0" xfId="0" applyNumberFormat="1" applyFont="1" applyFill="1" applyAlignment="1" applyProtection="1">
      <alignment horizontal="center" vertical="center"/>
    </xf>
    <xf numFmtId="170" fontId="9" fillId="4" borderId="0" xfId="0" applyNumberFormat="1" applyFont="1" applyFill="1" applyAlignment="1" applyProtection="1">
      <alignment horizontal="center" vertical="center"/>
    </xf>
    <xf numFmtId="171" fontId="9" fillId="4" borderId="0" xfId="0" applyNumberFormat="1" applyFont="1" applyFill="1" applyAlignment="1" applyProtection="1">
      <alignment horizontal="center" vertical="center"/>
    </xf>
    <xf numFmtId="172" fontId="9" fillId="4" borderId="0" xfId="0" applyNumberFormat="1" applyFont="1" applyFill="1" applyProtection="1"/>
    <xf numFmtId="173" fontId="9" fillId="4" borderId="0" xfId="0" applyNumberFormat="1" applyFont="1" applyFill="1" applyAlignment="1" applyProtection="1">
      <alignment horizontal="center"/>
    </xf>
    <xf numFmtId="174" fontId="9" fillId="4" borderId="0" xfId="0" applyNumberFormat="1" applyFont="1" applyFill="1" applyAlignment="1" applyProtection="1">
      <alignment horizontal="center"/>
    </xf>
    <xf numFmtId="175" fontId="10" fillId="3" borderId="1" xfId="0" applyNumberFormat="1" applyFont="1" applyFill="1" applyBorder="1" applyAlignment="1" applyProtection="1">
      <alignment horizontal="center" vertical="center"/>
      <protection locked="0"/>
    </xf>
    <xf numFmtId="176" fontId="3" fillId="3" borderId="1" xfId="0" applyNumberFormat="1" applyFont="1" applyFill="1" applyBorder="1" applyAlignment="1" applyProtection="1">
      <alignment horizontal="center" vertical="center"/>
      <protection locked="0"/>
    </xf>
    <xf numFmtId="177" fontId="3" fillId="3" borderId="1" xfId="0" applyNumberFormat="1" applyFont="1" applyFill="1" applyBorder="1" applyAlignment="1" applyProtection="1">
      <alignment horizontal="center" vertical="center"/>
      <protection locked="0"/>
    </xf>
    <xf numFmtId="178" fontId="3" fillId="3" borderId="1" xfId="0" applyNumberFormat="1" applyFont="1" applyFill="1" applyBorder="1" applyAlignment="1" applyProtection="1">
      <alignment horizontal="center" vertical="center"/>
      <protection locked="0"/>
    </xf>
    <xf numFmtId="179" fontId="3" fillId="3" borderId="1" xfId="0" applyNumberFormat="1" applyFont="1" applyFill="1" applyBorder="1" applyAlignment="1" applyProtection="1">
      <alignment horizontal="center" vertical="center"/>
      <protection locked="0"/>
    </xf>
    <xf numFmtId="180" fontId="3" fillId="3" borderId="1" xfId="0" applyNumberFormat="1" applyFont="1" applyFill="1" applyBorder="1" applyAlignment="1" applyProtection="1">
      <alignment horizontal="center" vertical="center"/>
      <protection locked="0"/>
    </xf>
    <xf numFmtId="181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9" fillId="4" borderId="0" xfId="0" applyNumberFormat="1" applyFont="1" applyFill="1" applyAlignment="1" applyProtection="1">
      <alignment horizontal="center" vertical="center"/>
    </xf>
    <xf numFmtId="182" fontId="9" fillId="4" borderId="0" xfId="0" applyNumberFormat="1" applyFont="1" applyFill="1" applyAlignment="1" applyProtection="1">
      <alignment horizontal="center" vertical="center"/>
    </xf>
    <xf numFmtId="182" fontId="3" fillId="2" borderId="1" xfId="0" applyNumberFormat="1" applyFont="1" applyFill="1" applyBorder="1" applyAlignment="1" applyProtection="1">
      <alignment horizontal="center"/>
    </xf>
    <xf numFmtId="183" fontId="9" fillId="4" borderId="0" xfId="0" applyNumberFormat="1" applyFont="1" applyFill="1" applyAlignment="1" applyProtection="1">
      <alignment horizontal="center" vertical="center"/>
    </xf>
    <xf numFmtId="0" fontId="8" fillId="0" borderId="0" xfId="0" applyFont="1" applyProtection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U16"/>
  <sheetViews>
    <sheetView tabSelected="1" zoomScaleNormal="100" zoomScaleSheetLayoutView="200" workbookViewId="0">
      <selection activeCell="A3" sqref="A3"/>
    </sheetView>
  </sheetViews>
  <sheetFormatPr defaultRowHeight="12.75"/>
  <cols>
    <col min="1" max="1" width="9.5703125" style="19" bestFit="1" customWidth="1"/>
    <col min="2" max="2" width="10.85546875" style="19" bestFit="1" customWidth="1"/>
    <col min="3" max="3" width="11" style="19" bestFit="1" customWidth="1"/>
    <col min="4" max="4" width="11.28515625" style="19" bestFit="1" customWidth="1"/>
    <col min="5" max="16384" width="9.140625" style="19"/>
  </cols>
  <sheetData>
    <row r="1" spans="1:229" s="9" customFormat="1" ht="12.75" customHeight="1">
      <c r="A1" s="8">
        <f>IF(GrossMassInKg&gt;MaxGrossMassInKg,"&gt;Max GM",GrossMassInKg)</f>
        <v>2412.9390256613838</v>
      </c>
      <c r="B1" s="50">
        <f>IF(GrossMassInKg&gt;MaxGrossMassInKg, "&gt;Max GM", IF(C1&lt;B2, "&lt;FWD", MaxFwdCgInMm))</f>
        <v>4205.3359971146747</v>
      </c>
      <c r="C1" s="50">
        <f>IF(GrossMassInKg&gt;MaxGrossMassInKg, "&gt;Max GM", Calculations!B6)</f>
        <v>4365.7608670619184</v>
      </c>
      <c r="D1" s="50">
        <f>IF(GrossMassInKg&gt;MaxGrossMassInKg, "&gt;Max GM", IF(C1&gt;D2, "&gt;AFT", MaxRearCgInMm))</f>
        <v>4432.5462590577245</v>
      </c>
      <c r="F1" s="14"/>
    </row>
    <row r="2" spans="1:229" ht="12.75" customHeight="1">
      <c r="A2" s="48">
        <f>MaxGrossMassInKg</f>
        <v>2835</v>
      </c>
      <c r="B2" s="49">
        <f>MaxFwdCgInMm</f>
        <v>4205.3359971146747</v>
      </c>
      <c r="C2" s="23" t="s">
        <v>38</v>
      </c>
      <c r="D2" s="49">
        <f>MaxRearCgInMm</f>
        <v>4432.5462590577245</v>
      </c>
    </row>
    <row r="3" spans="1:229" s="10" customFormat="1" ht="12.75" customHeight="1">
      <c r="A3" s="46">
        <v>0</v>
      </c>
      <c r="B3" s="47">
        <v>200</v>
      </c>
      <c r="C3" s="33">
        <f>CopilotCgInMm</f>
        <v>2428</v>
      </c>
      <c r="D3" s="34">
        <f>PilotCgInMm</f>
        <v>2428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</row>
    <row r="4" spans="1:229" s="20" customFormat="1" ht="12.75" customHeight="1">
      <c r="A4" s="44">
        <v>200</v>
      </c>
      <c r="B4" s="45">
        <v>0</v>
      </c>
      <c r="C4" s="35">
        <f>LRFcgInMm</f>
        <v>3201</v>
      </c>
      <c r="D4" s="36">
        <f>RRFcgInMm</f>
        <v>3301</v>
      </c>
    </row>
    <row r="5" spans="1:229" s="10" customFormat="1" ht="12.75" customHeight="1">
      <c r="A5" s="42">
        <v>0</v>
      </c>
      <c r="B5" s="43">
        <v>200</v>
      </c>
      <c r="C5" s="51">
        <f>PtCgInMm</f>
        <v>4350</v>
      </c>
      <c r="D5" s="37">
        <f>FFcgInMm</f>
        <v>4170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</row>
    <row r="6" spans="1:229" s="20" customFormat="1" ht="12.75" customHeight="1">
      <c r="A6" s="41">
        <v>10</v>
      </c>
      <c r="B6" s="40">
        <f>EmptyMassInKg</f>
        <v>1912</v>
      </c>
      <c r="C6" s="39">
        <f>EmptyCGinMM</f>
        <v>4487.92</v>
      </c>
      <c r="D6" s="38">
        <f>EmptyMomentInKgMm</f>
        <v>8581671.5999999996</v>
      </c>
    </row>
    <row r="7" spans="1:229" s="10" customFormat="1" ht="12.75" customHeight="1">
      <c r="B7" s="19"/>
      <c r="D7" s="1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</row>
    <row r="8" spans="1:229" s="20" customFormat="1" ht="12.75" customHeight="1">
      <c r="D8" s="19"/>
    </row>
    <row r="9" spans="1:229" s="10" customFormat="1" ht="12.75" customHeight="1">
      <c r="D9" s="1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</row>
    <row r="10" spans="1:229" ht="12.75" customHeight="1"/>
    <row r="11" spans="1:229" ht="12.75" customHeight="1">
      <c r="B11" s="21"/>
    </row>
    <row r="15" spans="1:229">
      <c r="A15" s="22"/>
    </row>
    <row r="16" spans="1:229">
      <c r="A16" s="22"/>
    </row>
  </sheetData>
  <sheetProtection sheet="1" objects="1" scenarios="1" selectLockedCells="1"/>
  <phoneticPr fontId="6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Normal="100" workbookViewId="0"/>
  </sheetViews>
  <sheetFormatPr defaultColWidth="8.42578125" defaultRowHeight="12.75"/>
  <cols>
    <col min="1" max="1" width="40.7109375" bestFit="1" customWidth="1"/>
    <col min="2" max="2" width="9.7109375" style="1" bestFit="1" customWidth="1"/>
    <col min="3" max="3" width="9.85546875" style="5" bestFit="1" customWidth="1"/>
    <col min="4" max="4" width="13" bestFit="1" customWidth="1"/>
  </cols>
  <sheetData>
    <row r="1" spans="1:4">
      <c r="A1" s="3" t="s">
        <v>0</v>
      </c>
      <c r="B1" s="4" t="s">
        <v>1</v>
      </c>
      <c r="C1" s="6" t="s">
        <v>2</v>
      </c>
      <c r="D1" s="3" t="s">
        <v>3</v>
      </c>
    </row>
    <row r="2" spans="1:4">
      <c r="A2" s="24" t="s">
        <v>5</v>
      </c>
      <c r="B2" s="26">
        <v>38</v>
      </c>
      <c r="C2" s="27">
        <v>4250</v>
      </c>
      <c r="D2" s="2">
        <v>161500</v>
      </c>
    </row>
    <row r="3" spans="1:4">
      <c r="A3" s="24" t="s">
        <v>6</v>
      </c>
      <c r="B3" s="26">
        <v>12</v>
      </c>
      <c r="C3" s="27">
        <v>2900</v>
      </c>
      <c r="D3" s="2">
        <v>34800</v>
      </c>
    </row>
    <row r="4" spans="1:4">
      <c r="A4" s="24" t="s">
        <v>7</v>
      </c>
      <c r="B4" s="26">
        <v>3</v>
      </c>
      <c r="C4" s="27">
        <v>5650</v>
      </c>
      <c r="D4" s="2">
        <v>16950</v>
      </c>
    </row>
    <row r="5" spans="1:4">
      <c r="A5" s="24" t="s">
        <v>8</v>
      </c>
      <c r="B5" s="26">
        <v>52</v>
      </c>
      <c r="C5" s="27">
        <v>5100</v>
      </c>
      <c r="D5" s="2">
        <v>265200</v>
      </c>
    </row>
    <row r="6" spans="1:4">
      <c r="A6" s="24"/>
      <c r="B6" s="26">
        <v>0</v>
      </c>
      <c r="C6" s="27">
        <v>0</v>
      </c>
      <c r="D6" s="2">
        <v>0</v>
      </c>
    </row>
    <row r="7" spans="1:4">
      <c r="A7" s="28"/>
      <c r="B7" s="26">
        <v>0</v>
      </c>
      <c r="C7" s="27">
        <v>0</v>
      </c>
      <c r="D7" s="2">
        <f t="shared" ref="D7:D34" si="0">C7*B7</f>
        <v>0</v>
      </c>
    </row>
    <row r="8" spans="1:4">
      <c r="A8" s="28"/>
      <c r="B8" s="27">
        <v>0</v>
      </c>
      <c r="C8" s="29">
        <v>0</v>
      </c>
      <c r="D8" s="2">
        <f t="shared" si="0"/>
        <v>0</v>
      </c>
    </row>
    <row r="9" spans="1:4">
      <c r="A9" s="28"/>
      <c r="B9" s="27">
        <v>0</v>
      </c>
      <c r="C9" s="26">
        <v>0</v>
      </c>
      <c r="D9" s="2">
        <f t="shared" si="0"/>
        <v>0</v>
      </c>
    </row>
    <row r="10" spans="1:4">
      <c r="A10" s="28"/>
      <c r="B10" s="29">
        <v>0</v>
      </c>
      <c r="C10" s="27">
        <v>0</v>
      </c>
      <c r="D10" s="2">
        <f t="shared" si="0"/>
        <v>0</v>
      </c>
    </row>
    <row r="11" spans="1:4">
      <c r="A11" s="28"/>
      <c r="B11" s="26">
        <v>0</v>
      </c>
      <c r="C11" s="29">
        <v>0</v>
      </c>
      <c r="D11" s="2">
        <f t="shared" si="0"/>
        <v>0</v>
      </c>
    </row>
    <row r="12" spans="1:4">
      <c r="A12" s="28"/>
      <c r="B12" s="27">
        <v>0</v>
      </c>
      <c r="C12" s="26">
        <v>0</v>
      </c>
      <c r="D12" s="2">
        <f t="shared" si="0"/>
        <v>0</v>
      </c>
    </row>
    <row r="13" spans="1:4">
      <c r="A13" s="28"/>
      <c r="B13" s="27">
        <v>0</v>
      </c>
      <c r="C13" s="27">
        <v>0</v>
      </c>
      <c r="D13" s="2">
        <f t="shared" si="0"/>
        <v>0</v>
      </c>
    </row>
    <row r="14" spans="1:4">
      <c r="A14" s="28"/>
      <c r="B14" s="29">
        <v>0</v>
      </c>
      <c r="C14" s="29">
        <v>0</v>
      </c>
      <c r="D14" s="2">
        <f t="shared" si="0"/>
        <v>0</v>
      </c>
    </row>
    <row r="15" spans="1:4">
      <c r="A15" s="28"/>
      <c r="B15" s="26">
        <v>0</v>
      </c>
      <c r="C15" s="26">
        <v>0</v>
      </c>
      <c r="D15" s="2">
        <f t="shared" si="0"/>
        <v>0</v>
      </c>
    </row>
    <row r="16" spans="1:4">
      <c r="A16" s="28"/>
      <c r="B16" s="27">
        <v>0</v>
      </c>
      <c r="C16" s="27">
        <v>0</v>
      </c>
      <c r="D16" s="2">
        <f t="shared" si="0"/>
        <v>0</v>
      </c>
    </row>
    <row r="17" spans="1:4">
      <c r="A17" s="28"/>
      <c r="B17" s="27">
        <v>0</v>
      </c>
      <c r="C17" s="29">
        <v>0</v>
      </c>
      <c r="D17" s="2">
        <f t="shared" si="0"/>
        <v>0</v>
      </c>
    </row>
    <row r="18" spans="1:4">
      <c r="A18" s="28"/>
      <c r="B18" s="29">
        <v>0</v>
      </c>
      <c r="C18" s="26">
        <v>0</v>
      </c>
      <c r="D18" s="2">
        <f t="shared" si="0"/>
        <v>0</v>
      </c>
    </row>
    <row r="19" spans="1:4">
      <c r="A19" s="28"/>
      <c r="B19" s="26">
        <v>0</v>
      </c>
      <c r="C19" s="27">
        <v>0</v>
      </c>
      <c r="D19" s="2">
        <f t="shared" si="0"/>
        <v>0</v>
      </c>
    </row>
    <row r="20" spans="1:4">
      <c r="A20" s="28"/>
      <c r="B20" s="27">
        <v>0</v>
      </c>
      <c r="C20" s="29">
        <v>0</v>
      </c>
      <c r="D20" s="2">
        <f t="shared" si="0"/>
        <v>0</v>
      </c>
    </row>
    <row r="21" spans="1:4">
      <c r="A21" s="28"/>
      <c r="B21" s="27">
        <v>0</v>
      </c>
      <c r="C21" s="26">
        <v>0</v>
      </c>
      <c r="D21" s="2">
        <f t="shared" si="0"/>
        <v>0</v>
      </c>
    </row>
    <row r="22" spans="1:4">
      <c r="A22" s="28"/>
      <c r="B22" s="29">
        <v>0</v>
      </c>
      <c r="C22" s="27">
        <v>0</v>
      </c>
      <c r="D22" s="2">
        <f t="shared" si="0"/>
        <v>0</v>
      </c>
    </row>
    <row r="23" spans="1:4">
      <c r="A23" s="28"/>
      <c r="B23" s="26">
        <v>0</v>
      </c>
      <c r="C23" s="29">
        <v>0</v>
      </c>
      <c r="D23" s="2">
        <f t="shared" si="0"/>
        <v>0</v>
      </c>
    </row>
    <row r="24" spans="1:4">
      <c r="A24" s="28"/>
      <c r="B24" s="27">
        <v>0</v>
      </c>
      <c r="C24" s="26">
        <v>0</v>
      </c>
      <c r="D24" s="2">
        <f t="shared" si="0"/>
        <v>0</v>
      </c>
    </row>
    <row r="25" spans="1:4">
      <c r="A25" s="28"/>
      <c r="B25" s="27">
        <v>0</v>
      </c>
      <c r="C25" s="27">
        <v>0</v>
      </c>
      <c r="D25" s="2">
        <f t="shared" si="0"/>
        <v>0</v>
      </c>
    </row>
    <row r="26" spans="1:4">
      <c r="A26" s="28"/>
      <c r="B26" s="29">
        <v>0</v>
      </c>
      <c r="C26" s="29">
        <v>0</v>
      </c>
      <c r="D26" s="2">
        <f t="shared" si="0"/>
        <v>0</v>
      </c>
    </row>
    <row r="27" spans="1:4">
      <c r="A27" s="28"/>
      <c r="B27" s="26">
        <v>0</v>
      </c>
      <c r="C27" s="26">
        <v>0</v>
      </c>
      <c r="D27" s="2">
        <f t="shared" si="0"/>
        <v>0</v>
      </c>
    </row>
    <row r="28" spans="1:4">
      <c r="A28" s="28"/>
      <c r="B28" s="27">
        <v>0</v>
      </c>
      <c r="C28" s="26">
        <v>0</v>
      </c>
      <c r="D28" s="2">
        <f t="shared" si="0"/>
        <v>0</v>
      </c>
    </row>
    <row r="29" spans="1:4">
      <c r="A29" s="28"/>
      <c r="B29" s="27">
        <v>0</v>
      </c>
      <c r="C29" s="26">
        <v>0</v>
      </c>
      <c r="D29" s="2">
        <f t="shared" si="0"/>
        <v>0</v>
      </c>
    </row>
    <row r="30" spans="1:4">
      <c r="A30" s="28"/>
      <c r="B30" s="27">
        <v>0</v>
      </c>
      <c r="C30" s="26">
        <v>0</v>
      </c>
      <c r="D30" s="2">
        <f t="shared" si="0"/>
        <v>0</v>
      </c>
    </row>
    <row r="31" spans="1:4">
      <c r="A31" s="28"/>
      <c r="B31" s="27">
        <v>0</v>
      </c>
      <c r="C31" s="26">
        <v>0</v>
      </c>
      <c r="D31" s="2">
        <f t="shared" si="0"/>
        <v>0</v>
      </c>
    </row>
    <row r="32" spans="1:4">
      <c r="A32" s="28"/>
      <c r="B32" s="27">
        <v>0</v>
      </c>
      <c r="C32" s="26">
        <v>0</v>
      </c>
      <c r="D32" s="2">
        <f t="shared" si="0"/>
        <v>0</v>
      </c>
    </row>
    <row r="33" spans="1:4">
      <c r="A33" s="28"/>
      <c r="B33" s="27">
        <v>0</v>
      </c>
      <c r="C33" s="26">
        <v>0</v>
      </c>
      <c r="D33" s="2">
        <f t="shared" si="0"/>
        <v>0</v>
      </c>
    </row>
    <row r="34" spans="1:4">
      <c r="A34" s="30"/>
      <c r="B34" s="27">
        <v>0</v>
      </c>
      <c r="C34" s="26">
        <v>0</v>
      </c>
      <c r="D34" s="2">
        <f t="shared" si="0"/>
        <v>0</v>
      </c>
    </row>
    <row r="35" spans="1:4">
      <c r="A35" s="11" t="s">
        <v>9</v>
      </c>
      <c r="B35" s="12">
        <f>SUM(B2:B34)</f>
        <v>105</v>
      </c>
      <c r="C35" s="12">
        <f>D35/B35</f>
        <v>4556.666666666667</v>
      </c>
      <c r="D35" s="13">
        <f>SUM(D2:D34)</f>
        <v>478450</v>
      </c>
    </row>
  </sheetData>
  <sheetProtection sheet="1" objects="1" scenarios="1"/>
  <phoneticPr fontId="6" type="noConversion"/>
  <printOptions gridLine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cols>
    <col min="1" max="1" width="26" style="53" bestFit="1" customWidth="1"/>
    <col min="2" max="2" width="10" style="53" bestFit="1" customWidth="1"/>
    <col min="3" max="16384" width="9.140625" style="53"/>
  </cols>
  <sheetData>
    <row r="1" spans="1:2">
      <c r="A1" s="52" t="s">
        <v>30</v>
      </c>
      <c r="B1" s="24">
        <v>1912</v>
      </c>
    </row>
    <row r="2" spans="1:2">
      <c r="A2" s="52" t="s">
        <v>4</v>
      </c>
      <c r="B2" s="24">
        <v>4487.92</v>
      </c>
    </row>
    <row r="3" spans="1:2">
      <c r="A3" s="52" t="s">
        <v>23</v>
      </c>
      <c r="B3" s="25">
        <v>8581671.5999999996</v>
      </c>
    </row>
    <row r="4" spans="1:2">
      <c r="A4" s="52" t="s">
        <v>10</v>
      </c>
      <c r="B4" s="24">
        <v>93.5</v>
      </c>
    </row>
    <row r="5" spans="1:2">
      <c r="A5" s="52" t="s">
        <v>31</v>
      </c>
      <c r="B5" s="24">
        <v>2835</v>
      </c>
    </row>
    <row r="6" spans="1:2">
      <c r="A6" s="52" t="s">
        <v>11</v>
      </c>
      <c r="B6" s="53">
        <v>2.2046199999999998</v>
      </c>
    </row>
    <row r="7" spans="1:2">
      <c r="A7" s="52" t="s">
        <v>25</v>
      </c>
      <c r="B7" s="53">
        <v>1.25</v>
      </c>
    </row>
    <row r="8" spans="1:2">
      <c r="A8" s="52" t="s">
        <v>26</v>
      </c>
      <c r="B8" s="53">
        <v>3.7854100000000002</v>
      </c>
    </row>
    <row r="9" spans="1:2">
      <c r="A9" s="52" t="s">
        <v>17</v>
      </c>
      <c r="B9" s="24">
        <v>2428</v>
      </c>
    </row>
    <row r="10" spans="1:2">
      <c r="A10" s="52" t="s">
        <v>18</v>
      </c>
      <c r="B10" s="24">
        <v>2428</v>
      </c>
    </row>
    <row r="11" spans="1:2">
      <c r="A11" s="52" t="s">
        <v>19</v>
      </c>
      <c r="B11" s="24">
        <v>3201</v>
      </c>
    </row>
    <row r="12" spans="1:2">
      <c r="A12" s="52" t="s">
        <v>20</v>
      </c>
      <c r="B12" s="24">
        <v>3301</v>
      </c>
    </row>
    <row r="13" spans="1:2">
      <c r="A13" s="52" t="s">
        <v>21</v>
      </c>
      <c r="B13" s="24">
        <v>4350</v>
      </c>
    </row>
    <row r="14" spans="1:2">
      <c r="A14" s="52" t="s">
        <v>22</v>
      </c>
      <c r="B14" s="24">
        <v>4170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workbookViewId="0"/>
  </sheetViews>
  <sheetFormatPr defaultRowHeight="12.75"/>
  <cols>
    <col min="1" max="1" width="9.140625" style="16"/>
    <col min="2" max="2" width="14.7109375" bestFit="1" customWidth="1"/>
    <col min="6" max="6" width="12" bestFit="1" customWidth="1"/>
    <col min="7" max="7" width="8.5703125" bestFit="1" customWidth="1"/>
    <col min="8" max="8" width="8.42578125" bestFit="1" customWidth="1"/>
    <col min="9" max="9" width="10" bestFit="1" customWidth="1"/>
    <col min="10" max="10" width="9.85546875" bestFit="1" customWidth="1"/>
  </cols>
  <sheetData>
    <row r="1" spans="1:11">
      <c r="A1" s="15" t="s">
        <v>24</v>
      </c>
      <c r="B1" s="7" t="s">
        <v>13</v>
      </c>
      <c r="D1" s="7"/>
      <c r="E1" s="7"/>
      <c r="F1" s="7"/>
      <c r="G1" s="7"/>
      <c r="H1" s="7"/>
      <c r="I1" s="7"/>
      <c r="J1" s="7"/>
      <c r="K1" s="7"/>
    </row>
    <row r="2" spans="1:11">
      <c r="A2" s="16">
        <v>2.6</v>
      </c>
      <c r="B2">
        <v>39520</v>
      </c>
    </row>
    <row r="3" spans="1:11">
      <c r="A3" s="16">
        <v>5.3</v>
      </c>
      <c r="B3">
        <v>79136</v>
      </c>
    </row>
    <row r="4" spans="1:11">
      <c r="A4" s="16">
        <v>7.9</v>
      </c>
      <c r="B4">
        <v>118968</v>
      </c>
    </row>
    <row r="5" spans="1:11">
      <c r="A5" s="16">
        <v>10.6</v>
      </c>
      <c r="B5">
        <v>158976</v>
      </c>
    </row>
    <row r="6" spans="1:11">
      <c r="A6" s="16">
        <v>13.2</v>
      </c>
      <c r="B6">
        <v>199120</v>
      </c>
    </row>
    <row r="7" spans="1:11">
      <c r="A7" s="16">
        <v>15.9</v>
      </c>
      <c r="B7">
        <v>239376</v>
      </c>
    </row>
    <row r="8" spans="1:11">
      <c r="A8" s="16">
        <v>18.5</v>
      </c>
      <c r="B8">
        <v>279776</v>
      </c>
    </row>
    <row r="9" spans="1:11">
      <c r="A9" s="16">
        <v>21.1</v>
      </c>
      <c r="B9">
        <v>320192</v>
      </c>
    </row>
    <row r="10" spans="1:11">
      <c r="A10" s="16">
        <v>23.8</v>
      </c>
      <c r="B10">
        <v>360792</v>
      </c>
    </row>
    <row r="11" spans="1:11">
      <c r="A11" s="16">
        <v>26.4</v>
      </c>
      <c r="B11">
        <v>401440</v>
      </c>
    </row>
    <row r="12" spans="1:11">
      <c r="A12" s="16">
        <v>29.1</v>
      </c>
      <c r="B12">
        <v>442200</v>
      </c>
    </row>
    <row r="13" spans="1:11">
      <c r="A13" s="16">
        <v>30.4</v>
      </c>
      <c r="B13">
        <v>462392</v>
      </c>
    </row>
    <row r="14" spans="1:11">
      <c r="A14" s="16">
        <v>33</v>
      </c>
      <c r="B14">
        <v>493440</v>
      </c>
    </row>
    <row r="15" spans="1:11">
      <c r="A15" s="16">
        <v>35.700000000000003</v>
      </c>
      <c r="B15">
        <v>524504</v>
      </c>
    </row>
    <row r="16" spans="1:11">
      <c r="A16" s="16">
        <v>38.299999999999997</v>
      </c>
      <c r="B16">
        <v>555584</v>
      </c>
    </row>
    <row r="17" spans="1:2">
      <c r="A17" s="16">
        <v>41</v>
      </c>
      <c r="B17">
        <v>586680</v>
      </c>
    </row>
    <row r="18" spans="1:2">
      <c r="A18" s="16">
        <v>43.6</v>
      </c>
      <c r="B18">
        <v>617792</v>
      </c>
    </row>
    <row r="19" spans="1:2">
      <c r="A19" s="16">
        <v>46.2</v>
      </c>
      <c r="B19">
        <v>648968</v>
      </c>
    </row>
    <row r="20" spans="1:2">
      <c r="A20" s="16">
        <v>48.9</v>
      </c>
      <c r="B20">
        <v>680176</v>
      </c>
    </row>
    <row r="21" spans="1:2">
      <c r="A21" s="16">
        <v>51.5</v>
      </c>
      <c r="B21">
        <v>711352</v>
      </c>
    </row>
    <row r="22" spans="1:2">
      <c r="A22" s="16">
        <v>54.2</v>
      </c>
      <c r="B22">
        <v>742616</v>
      </c>
    </row>
    <row r="23" spans="1:2">
      <c r="A23" s="16">
        <v>56.8</v>
      </c>
      <c r="B23">
        <v>773992</v>
      </c>
    </row>
    <row r="24" spans="1:2">
      <c r="A24" s="16">
        <v>59.4</v>
      </c>
      <c r="B24">
        <v>805416</v>
      </c>
    </row>
    <row r="25" spans="1:2">
      <c r="A25" s="16">
        <v>62.1</v>
      </c>
      <c r="B25">
        <v>836792</v>
      </c>
    </row>
    <row r="26" spans="1:2">
      <c r="A26" s="16">
        <v>64.7</v>
      </c>
      <c r="B26">
        <v>868200</v>
      </c>
    </row>
    <row r="27" spans="1:2">
      <c r="A27" s="16">
        <v>67.400000000000006</v>
      </c>
      <c r="B27">
        <v>899640</v>
      </c>
    </row>
    <row r="28" spans="1:2">
      <c r="A28" s="16">
        <v>70</v>
      </c>
      <c r="B28">
        <v>930992</v>
      </c>
    </row>
    <row r="29" spans="1:2">
      <c r="A29" s="16">
        <v>72.7</v>
      </c>
      <c r="B29">
        <v>962360</v>
      </c>
    </row>
    <row r="30" spans="1:2">
      <c r="A30" s="16">
        <v>75.3</v>
      </c>
      <c r="B30">
        <v>993744</v>
      </c>
    </row>
    <row r="31" spans="1:2">
      <c r="A31" s="16">
        <v>77.900000000000006</v>
      </c>
      <c r="B31">
        <v>1025144</v>
      </c>
    </row>
    <row r="32" spans="1:2">
      <c r="A32" s="16">
        <v>80.599999999999994</v>
      </c>
      <c r="B32">
        <v>1056560</v>
      </c>
    </row>
    <row r="33" spans="1:2">
      <c r="A33" s="16">
        <v>83.2</v>
      </c>
      <c r="B33">
        <v>1087992</v>
      </c>
    </row>
    <row r="34" spans="1:2">
      <c r="A34" s="16">
        <v>85.9</v>
      </c>
      <c r="B34">
        <v>1119440</v>
      </c>
    </row>
    <row r="35" spans="1:2">
      <c r="A35" s="16">
        <v>88.5</v>
      </c>
      <c r="B35">
        <v>1150728</v>
      </c>
    </row>
    <row r="36" spans="1:2">
      <c r="A36" s="16">
        <v>91.1</v>
      </c>
      <c r="B36">
        <v>1182200</v>
      </c>
    </row>
    <row r="37" spans="1:2">
      <c r="A37" s="16">
        <v>93.8</v>
      </c>
      <c r="B37">
        <v>1213496</v>
      </c>
    </row>
    <row r="38" spans="1:2">
      <c r="A38" s="16">
        <v>96.4</v>
      </c>
      <c r="B38">
        <v>1244992</v>
      </c>
    </row>
    <row r="39" spans="1:2">
      <c r="A39" s="16">
        <v>99.1</v>
      </c>
      <c r="B39">
        <v>1276296</v>
      </c>
    </row>
    <row r="40" spans="1:2">
      <c r="A40" s="16">
        <v>101.7</v>
      </c>
      <c r="B40">
        <v>1307816</v>
      </c>
    </row>
    <row r="41" spans="1:2">
      <c r="A41" s="16">
        <v>104.4</v>
      </c>
      <c r="B41">
        <v>1339128</v>
      </c>
    </row>
    <row r="42" spans="1:2">
      <c r="A42" s="16">
        <v>107</v>
      </c>
      <c r="B42">
        <v>1370672</v>
      </c>
    </row>
    <row r="43" spans="1:2">
      <c r="A43" s="16">
        <v>109.6</v>
      </c>
      <c r="B43">
        <v>1401992</v>
      </c>
    </row>
    <row r="44" spans="1:2">
      <c r="A44" s="16">
        <v>112.3</v>
      </c>
      <c r="B44">
        <v>1433312</v>
      </c>
    </row>
    <row r="45" spans="1:2">
      <c r="A45" s="16">
        <v>114.9</v>
      </c>
      <c r="B45">
        <v>1464888</v>
      </c>
    </row>
    <row r="46" spans="1:2">
      <c r="A46" s="16">
        <v>117.6</v>
      </c>
      <c r="B46">
        <v>1496216</v>
      </c>
    </row>
    <row r="47" spans="1:2">
      <c r="A47" s="16">
        <v>120.2</v>
      </c>
      <c r="B47">
        <v>1527544</v>
      </c>
    </row>
    <row r="48" spans="1:2">
      <c r="A48" s="16">
        <v>122.9</v>
      </c>
      <c r="B48">
        <v>1558872</v>
      </c>
    </row>
    <row r="49" spans="1:2">
      <c r="A49" s="16">
        <v>125.5</v>
      </c>
      <c r="B49">
        <v>1590488</v>
      </c>
    </row>
    <row r="50" spans="1:2">
      <c r="A50" s="16">
        <v>128.1</v>
      </c>
      <c r="B50">
        <v>1621824</v>
      </c>
    </row>
    <row r="51" spans="1:2">
      <c r="A51" s="16">
        <v>130.80000000000001</v>
      </c>
      <c r="B51">
        <v>1653160</v>
      </c>
    </row>
    <row r="52" spans="1:2">
      <c r="A52" s="16">
        <v>133.4</v>
      </c>
      <c r="B52">
        <v>1687304</v>
      </c>
    </row>
    <row r="53" spans="1:2">
      <c r="A53" s="16">
        <v>136.1</v>
      </c>
      <c r="B53">
        <v>1721592</v>
      </c>
    </row>
    <row r="54" spans="1:2">
      <c r="A54" s="16">
        <v>138.69999999999999</v>
      </c>
      <c r="B54">
        <v>1755696</v>
      </c>
    </row>
    <row r="55" spans="1:2">
      <c r="A55" s="16">
        <v>141.30000000000001</v>
      </c>
      <c r="B55">
        <v>1790936</v>
      </c>
    </row>
    <row r="56" spans="1:2">
      <c r="A56" s="16">
        <v>144</v>
      </c>
      <c r="B56">
        <v>1825320</v>
      </c>
    </row>
    <row r="57" spans="1:2">
      <c r="A57" s="16">
        <v>146.6</v>
      </c>
      <c r="B57">
        <v>1860184</v>
      </c>
    </row>
    <row r="58" spans="1:2">
      <c r="A58" s="16">
        <v>149.30000000000001</v>
      </c>
      <c r="B58">
        <v>1894472</v>
      </c>
    </row>
    <row r="59" spans="1:2">
      <c r="A59" s="16">
        <v>151.9</v>
      </c>
      <c r="B59">
        <v>1929976</v>
      </c>
    </row>
    <row r="60" spans="1:2">
      <c r="A60" s="16">
        <v>154.6</v>
      </c>
      <c r="B60">
        <v>1964512</v>
      </c>
    </row>
    <row r="61" spans="1:2">
      <c r="A61" s="16">
        <v>157.19999999999999</v>
      </c>
      <c r="B61">
        <v>1999544</v>
      </c>
    </row>
    <row r="62" spans="1:2">
      <c r="A62" s="16">
        <v>159.80000000000001</v>
      </c>
      <c r="B62">
        <v>2034312</v>
      </c>
    </row>
    <row r="63" spans="1:2">
      <c r="A63" s="16">
        <v>162.5</v>
      </c>
      <c r="B63">
        <v>2069192</v>
      </c>
    </row>
    <row r="64" spans="1:2">
      <c r="A64" s="16">
        <v>165.1</v>
      </c>
      <c r="B64">
        <v>2104184</v>
      </c>
    </row>
    <row r="65" spans="1:2">
      <c r="A65" s="16">
        <v>167.8</v>
      </c>
      <c r="B65">
        <v>2138872</v>
      </c>
    </row>
    <row r="66" spans="1:2">
      <c r="A66" s="16">
        <v>170.4</v>
      </c>
      <c r="B66">
        <v>2172808</v>
      </c>
    </row>
    <row r="67" spans="1:2">
      <c r="A67" s="16">
        <v>173.1</v>
      </c>
      <c r="B67">
        <v>2207672</v>
      </c>
    </row>
    <row r="68" spans="1:2">
      <c r="A68" s="16">
        <v>175.7</v>
      </c>
      <c r="B68">
        <v>2242632</v>
      </c>
    </row>
    <row r="69" spans="1:2">
      <c r="A69" s="16">
        <v>178.3</v>
      </c>
      <c r="B69">
        <v>2277688</v>
      </c>
    </row>
    <row r="70" spans="1:2">
      <c r="A70" s="16">
        <v>181</v>
      </c>
      <c r="B70">
        <v>2312384</v>
      </c>
    </row>
    <row r="71" spans="1:2">
      <c r="A71" s="16">
        <v>183.6</v>
      </c>
      <c r="B71">
        <v>2347624</v>
      </c>
    </row>
    <row r="72" spans="1:2">
      <c r="A72" s="16">
        <v>186.3</v>
      </c>
      <c r="B72">
        <v>2382488</v>
      </c>
    </row>
    <row r="73" spans="1:2">
      <c r="A73" s="16">
        <v>188.9</v>
      </c>
      <c r="B73">
        <v>2418392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/>
  </sheetViews>
  <sheetFormatPr defaultRowHeight="12.75"/>
  <cols>
    <col min="1" max="1" width="17" bestFit="1" customWidth="1"/>
    <col min="5" max="5" width="10.42578125" bestFit="1" customWidth="1"/>
    <col min="6" max="6" width="10.28515625" bestFit="1" customWidth="1"/>
    <col min="7" max="7" width="13.140625" bestFit="1" customWidth="1"/>
    <col min="8" max="8" width="12.85546875" bestFit="1" customWidth="1"/>
    <col min="9" max="9" width="14.28515625" bestFit="1" customWidth="1"/>
  </cols>
  <sheetData>
    <row r="1" spans="1:11">
      <c r="B1" s="31" t="s">
        <v>28</v>
      </c>
      <c r="C1" s="31" t="s">
        <v>29</v>
      </c>
      <c r="D1" s="31" t="s">
        <v>27</v>
      </c>
      <c r="E1" s="7" t="s">
        <v>35</v>
      </c>
      <c r="F1" s="7" t="s">
        <v>36</v>
      </c>
      <c r="G1" s="7" t="s">
        <v>33</v>
      </c>
      <c r="H1" s="7" t="s">
        <v>34</v>
      </c>
      <c r="I1" s="7" t="s">
        <v>37</v>
      </c>
      <c r="J1" s="7"/>
    </row>
    <row r="2" spans="1:11">
      <c r="A2" s="7" t="s">
        <v>32</v>
      </c>
      <c r="B2" s="32">
        <f>'W&amp;B'!$A$6</f>
        <v>10</v>
      </c>
      <c r="C2" s="32">
        <f>B2*LitersPerGallon/FuelLperKg+SupplyTankFuelInKg</f>
        <v>123.78328</v>
      </c>
      <c r="D2" s="32">
        <f t="shared" ref="D2" si="0">C2*FuelLperKg/LitersPerGallon</f>
        <v>40.875123170277462</v>
      </c>
      <c r="E2" s="32">
        <f>VLOOKUP(D2,Fuel!$A$2:$A$73, 1)</f>
        <v>38.299999999999997</v>
      </c>
      <c r="F2" s="32">
        <f>INDEX(Fuel!$A$2:$A$73, MATCH(E2, Fuel!$A$2:$A$73, 0)+1)</f>
        <v>41</v>
      </c>
      <c r="G2" s="32">
        <f>VLOOKUP(D2,Fuel!$A$2:$B$73, 2)</f>
        <v>555584</v>
      </c>
      <c r="H2" s="32">
        <f>INDEX(Fuel!$B$2:$B$73, MATCH(G2, Fuel!$B$2:$B$73, 0)+1)</f>
        <v>586680</v>
      </c>
      <c r="I2" s="32">
        <f>(D2-E2)/(F2-E2)*(H2-G2)+G2</f>
        <v>585241.78892701771</v>
      </c>
      <c r="J2" s="32"/>
    </row>
    <row r="3" spans="1:11">
      <c r="B3" s="32"/>
    </row>
    <row r="4" spans="1:11">
      <c r="A4" s="7" t="s">
        <v>12</v>
      </c>
      <c r="B4" s="18">
        <f>EmptyMassInKg+MedEquip!B35+('W&amp;B'!A3+'W&amp;B'!B3+'W&amp;B'!A4+'W&amp;B'!B4+'W&amp;B'!A5+'W&amp;B'!B5)/PoundsPerKg+SupplyTankFuelInKg+'W&amp;B'!A6*LitersPerGallon/FuelLperKg</f>
        <v>2412.9390256613838</v>
      </c>
      <c r="C4" s="7"/>
      <c r="D4" s="7"/>
      <c r="E4" s="7"/>
      <c r="F4" s="7"/>
      <c r="G4" s="7"/>
      <c r="H4" s="7"/>
      <c r="I4" s="7"/>
      <c r="J4" s="7"/>
      <c r="K4" s="7"/>
    </row>
    <row r="5" spans="1:11">
      <c r="A5" s="7" t="s">
        <v>13</v>
      </c>
      <c r="B5">
        <f>EmptyMomentInKgMm+MedEquip!D35+('W&amp;B'!A3*CopilotCgInMm+'W&amp;B'!B3*PilotCgInMm+'W&amp;B'!A4*LRFcgInMm+'W&amp;B'!B4*RRFcgInMm+'W&amp;B'!A5*PtCgInMm+'W&amp;B'!B5*FFcgInMm)/PoundsPerKg+I2</f>
        <v>10534314.772838984</v>
      </c>
      <c r="D5" s="17"/>
    </row>
    <row r="6" spans="1:11">
      <c r="A6" s="7" t="s">
        <v>14</v>
      </c>
      <c r="B6">
        <f>B5/B4</f>
        <v>4365.7608670619184</v>
      </c>
    </row>
    <row r="7" spans="1:11">
      <c r="A7" s="7" t="s">
        <v>15</v>
      </c>
      <c r="B7">
        <f>IF(B4&lt;1500, "&lt;Min GM", IF(AND(B4&gt;=1500, B4&lt;1840), (B4-1500)/(1500-1840)*(4570-4180)+4570, IF(AND(B4&gt;=1840, B4&lt;=2835), (B4-1840)/(2835-1840)*(4224-4180)+4180, "&gt;Max GM")))</f>
        <v>4205.3359971146747</v>
      </c>
    </row>
    <row r="8" spans="1:11">
      <c r="A8" s="7" t="s">
        <v>16</v>
      </c>
      <c r="B8">
        <f>IF(B4&lt;1500, "&lt;Min GM", IF(AND(B4&gt;=1500, B4&lt;=2835), (B4-1500)/(1500-2835)*(4570-4369)+4570, "&gt;Max GM"))</f>
        <v>4432.5462590577245</v>
      </c>
    </row>
    <row r="16" spans="1:11">
      <c r="A16" s="18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19</vt:i4>
      </vt:variant>
    </vt:vector>
  </HeadingPairs>
  <TitlesOfParts>
    <vt:vector size="24" baseType="lpstr">
      <vt:lpstr>W&amp;B</vt:lpstr>
      <vt:lpstr>MedEquip</vt:lpstr>
      <vt:lpstr>Constants</vt:lpstr>
      <vt:lpstr>Fuel</vt:lpstr>
      <vt:lpstr>Calculations</vt:lpstr>
      <vt:lpstr>CGinKgMm</vt:lpstr>
      <vt:lpstr>CopilotCgInMm</vt:lpstr>
      <vt:lpstr>EmptyCGinMM</vt:lpstr>
      <vt:lpstr>EmptyMassInKg</vt:lpstr>
      <vt:lpstr>EmptyMomentInKgMm</vt:lpstr>
      <vt:lpstr>FFcgInMm</vt:lpstr>
      <vt:lpstr>FuelLperKg</vt:lpstr>
      <vt:lpstr>GrossMassInKg</vt:lpstr>
      <vt:lpstr>LitersPerGallon</vt:lpstr>
      <vt:lpstr>LRFcgInMm</vt:lpstr>
      <vt:lpstr>MaxFwdCgInMm</vt:lpstr>
      <vt:lpstr>MaxGrossMassInKg</vt:lpstr>
      <vt:lpstr>MaxRearCgInMm</vt:lpstr>
      <vt:lpstr>PilotCgInMm</vt:lpstr>
      <vt:lpstr>PoundsPerKg</vt:lpstr>
      <vt:lpstr>'W&amp;B'!Print_Area</vt:lpstr>
      <vt:lpstr>PtCgInMm</vt:lpstr>
      <vt:lpstr>RRFcgInMm</vt:lpstr>
      <vt:lpstr>SupplyTankFuelInKg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ijkl</dc:creator>
  <cp:lastModifiedBy>ijkl</cp:lastModifiedBy>
  <cp:lastPrinted>2013-11-25T13:53:08Z</cp:lastPrinted>
  <dcterms:created xsi:type="dcterms:W3CDTF">2009-12-14T16:15:54Z</dcterms:created>
  <dcterms:modified xsi:type="dcterms:W3CDTF">2014-12-10T05:09:09Z</dcterms:modified>
</cp:coreProperties>
</file>